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Czyste Powietrze Pomorza" sheetId="1" r:id="rId1"/>
    <sheet name="propozycja" sheetId="2" r:id="rId2"/>
  </sheets>
  <definedNames>
    <definedName name="_xlnm.Print_Area" localSheetId="1">'propozycja'!$A$1:$L$37</definedName>
  </definedNames>
  <calcPr fullCalcOnLoad="1"/>
</workbook>
</file>

<file path=xl/sharedStrings.xml><?xml version="1.0" encoding="utf-8"?>
<sst xmlns="http://schemas.openxmlformats.org/spreadsheetml/2006/main" count="85" uniqueCount="62">
  <si>
    <t>Planowany zbiorczy efekt ekologiczny</t>
  </si>
  <si>
    <t>Przed modernizacją</t>
  </si>
  <si>
    <t>Po modernizacji</t>
  </si>
  <si>
    <t>Redukcja</t>
  </si>
  <si>
    <t xml:space="preserve">Paliwo </t>
  </si>
  <si>
    <t>rodzaj</t>
  </si>
  <si>
    <t>węgiel/ koks</t>
  </si>
  <si>
    <t>gaz ziemny</t>
  </si>
  <si>
    <t>olej opałowy</t>
  </si>
  <si>
    <t>podłączenie do m.s.c (węzły cieplne)</t>
  </si>
  <si>
    <t>pompa ciepła</t>
  </si>
  <si>
    <t>instalacja solarna</t>
  </si>
  <si>
    <t>biomasa</t>
  </si>
  <si>
    <t>Emisje zanieczyszczeń</t>
  </si>
  <si>
    <t>pyły ogólne (Mg/rok)</t>
  </si>
  <si>
    <r>
      <t>SO</t>
    </r>
    <r>
      <rPr>
        <vertAlign val="subscript"/>
        <sz val="10"/>
        <color indexed="8"/>
        <rFont val="Times New Roman"/>
        <family val="1"/>
      </rPr>
      <t xml:space="preserve">2   </t>
    </r>
    <r>
      <rPr>
        <sz val="10"/>
        <color indexed="8"/>
        <rFont val="Times New Roman"/>
        <family val="1"/>
      </rPr>
      <t>(Mg/rok)</t>
    </r>
  </si>
  <si>
    <r>
      <t>NO</t>
    </r>
    <r>
      <rPr>
        <vertAlign val="subscript"/>
        <sz val="10"/>
        <color indexed="8"/>
        <rFont val="Times New Roman"/>
        <family val="1"/>
      </rPr>
      <t xml:space="preserve">x  </t>
    </r>
    <r>
      <rPr>
        <sz val="10"/>
        <color indexed="8"/>
        <rFont val="Times New Roman"/>
        <family val="1"/>
      </rPr>
      <t>(Mg/rok)</t>
    </r>
  </si>
  <si>
    <t>CO   (Mg/rok)</t>
  </si>
  <si>
    <r>
      <t>CO</t>
    </r>
    <r>
      <rPr>
        <vertAlign val="subscript"/>
        <sz val="10"/>
        <color indexed="8"/>
        <rFont val="Times New Roman"/>
        <family val="1"/>
      </rPr>
      <t xml:space="preserve">2  </t>
    </r>
    <r>
      <rPr>
        <sz val="10"/>
        <color indexed="8"/>
        <rFont val="Times New Roman"/>
        <family val="1"/>
      </rPr>
      <t>(Mg/rok)</t>
    </r>
  </si>
  <si>
    <t>Emisja równoważna (Mg/rok)</t>
  </si>
  <si>
    <t>Tytuł zadania:</t>
  </si>
  <si>
    <t>pieczęć firmowa wnioskodawcy</t>
  </si>
  <si>
    <t>podpisy i pieczątki imienne osób
uprawnionych do reprezentacji wnioskodawcy</t>
  </si>
  <si>
    <t>rodzaj opał</t>
  </si>
  <si>
    <t>węgiel            ton/rok</t>
  </si>
  <si>
    <t>koks               ton/rok</t>
  </si>
  <si>
    <t>olej                ton/rok</t>
  </si>
  <si>
    <r>
      <t xml:space="preserve">gaz                    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</t>
    </r>
    <r>
      <rPr>
        <sz val="10"/>
        <rFont val="Times New Roman"/>
        <family val="1"/>
      </rPr>
      <t>rok</t>
    </r>
  </si>
  <si>
    <t>drewno           ton/rok</t>
  </si>
  <si>
    <t>słoma            ton/rok</t>
  </si>
  <si>
    <t>roczne zużycie opału</t>
  </si>
  <si>
    <t>EMISJA (ton/rok)</t>
  </si>
  <si>
    <t>pyły ogólne</t>
  </si>
  <si>
    <r>
      <t>SO</t>
    </r>
    <r>
      <rPr>
        <vertAlign val="subscript"/>
        <sz val="10"/>
        <rFont val="Times New Roman"/>
        <family val="1"/>
      </rPr>
      <t>2</t>
    </r>
  </si>
  <si>
    <r>
      <t>NO</t>
    </r>
    <r>
      <rPr>
        <vertAlign val="subscript"/>
        <sz val="10"/>
        <rFont val="Times New Roman"/>
        <family val="1"/>
      </rPr>
      <t>x</t>
    </r>
  </si>
  <si>
    <t>CO</t>
  </si>
  <si>
    <r>
      <t>CO</t>
    </r>
    <r>
      <rPr>
        <vertAlign val="subscript"/>
        <sz val="10"/>
        <rFont val="Times New Roman"/>
        <family val="1"/>
      </rPr>
      <t>2</t>
    </r>
  </si>
  <si>
    <r>
      <t xml:space="preserve">Formularz interaktywny - </t>
    </r>
    <r>
      <rPr>
        <b/>
        <sz val="12"/>
        <color indexed="10"/>
        <rFont val="Times New Roman"/>
        <family val="1"/>
      </rPr>
      <t>proszę uzupełnić tylko zielone komórki</t>
    </r>
  </si>
  <si>
    <t>zadanie z dziedziny ochrony atmosfery realizowane w ramach konkursu
"Czyste powietrze Pomorza"</t>
  </si>
  <si>
    <r>
      <t>Ilość źródeł ciepła ogółem</t>
    </r>
    <r>
      <rPr>
        <vertAlign val="superscript"/>
        <sz val="10"/>
        <color indexed="8"/>
        <rFont val="Times New Roman"/>
        <family val="1"/>
      </rPr>
      <t>2</t>
    </r>
  </si>
  <si>
    <r>
      <t>Moc nominalna (kW)/ powierzchnia [m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]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</si>
  <si>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Ilość uzyskanej energii z instalacji (GJ/rok) </t>
    </r>
    <r>
      <rPr>
        <vertAlign val="superscript"/>
        <sz val="10"/>
        <color indexed="8"/>
        <rFont val="Times New Roman"/>
        <family val="1"/>
      </rPr>
      <t>3</t>
    </r>
  </si>
  <si>
    <r>
      <t>1/</t>
    </r>
    <r>
      <rPr>
        <sz val="10"/>
        <color indexed="8"/>
        <rFont val="Times New Roman"/>
        <family val="1"/>
      </rPr>
      <t xml:space="preserve">   w przypadku instalacji solarnej podać łączną powierzchnię czynną (m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)  </t>
    </r>
  </si>
  <si>
    <r>
      <t xml:space="preserve">2/      </t>
    </r>
    <r>
      <rPr>
        <sz val="10"/>
        <color indexed="8"/>
        <rFont val="Times New Roman"/>
        <family val="1"/>
      </rPr>
      <t>w przypadku instalacji solarnej podać ilośc kolektorów</t>
    </r>
  </si>
  <si>
    <r>
      <t xml:space="preserve">3/ </t>
    </r>
    <r>
      <rPr>
        <sz val="10"/>
        <color indexed="8"/>
        <rFont val="Times New Roman"/>
        <family val="1"/>
      </rPr>
      <t xml:space="preserve">  przyjęto, że ilość energii uzyskanej z 1m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kolektora wynosi 1,8 GJ na rok</t>
    </r>
  </si>
  <si>
    <t>Załącznik do wniosku w-CzP/2014</t>
  </si>
  <si>
    <r>
      <t xml:space="preserve">formularz  </t>
    </r>
    <r>
      <rPr>
        <b/>
        <sz val="10"/>
        <rFont val="Times New Roman"/>
        <family val="1"/>
      </rPr>
      <t>EFEKTY-CzP-2014</t>
    </r>
  </si>
  <si>
    <t>węgiel</t>
  </si>
  <si>
    <t>koks</t>
  </si>
  <si>
    <t>drewno</t>
  </si>
  <si>
    <t>słoma</t>
  </si>
  <si>
    <t>roczne zużycie
opału [Mg]</t>
  </si>
  <si>
    <t>roczne zużycie
[Mg]</t>
  </si>
  <si>
    <r>
      <t>Moc nominalna (kW)/ powierzchnia [m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]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</si>
  <si>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Ilość źródeł ciepła ogółem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</si>
  <si>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2/   </t>
    </r>
    <r>
      <rPr>
        <sz val="10"/>
        <color indexed="8"/>
        <rFont val="Times New Roman"/>
        <family val="1"/>
      </rPr>
      <t>w przypadku instalacji solarnej podać ilośc kolektorów</t>
    </r>
  </si>
  <si>
    <r>
      <t xml:space="preserve">3/   </t>
    </r>
    <r>
      <rPr>
        <sz val="10"/>
        <color indexed="8"/>
        <rFont val="Times New Roman"/>
        <family val="1"/>
      </rPr>
      <t>przyjęto, że ilość energii uzyskanej z 1m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kolektora wynosi 1,8 GJ na rok</t>
    </r>
  </si>
  <si>
    <t>załącznik do wniosku</t>
  </si>
  <si>
    <t>Planowany efekt ekologiczny</t>
  </si>
  <si>
    <t>zadanie z dziedziny ochrony atmosfery realizowane w ramach konkursu
"Czyste powietrze Miasta i Gminy Gniew"</t>
  </si>
  <si>
    <t>podpis wnioskodawcy</t>
  </si>
  <si>
    <t>pieczęć firmowa udzielającego dotację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</si>
</sst>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0.000"/>
    <numFmt numFmtId="170" formatCode="#,##0.00000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D8D8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uble"/>
      <top style="medium"/>
      <bottom style="medium"/>
    </border>
    <border>
      <left style="dotted"/>
      <right style="double"/>
      <top style="thin"/>
      <bottom style="thin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ouble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>
        <color rgb="FF000000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000000"/>
      </top>
      <bottom style="thin"/>
    </border>
    <border>
      <left>
        <color indexed="63"/>
      </left>
      <right style="double"/>
      <top style="medium">
        <color rgb="FF000000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indent="15"/>
    </xf>
    <xf numFmtId="0" fontId="54" fillId="0" borderId="0" xfId="0" applyFont="1" applyAlignment="1">
      <alignment/>
    </xf>
    <xf numFmtId="0" fontId="55" fillId="0" borderId="10" xfId="0" applyFont="1" applyBorder="1" applyAlignment="1">
      <alignment wrapText="1"/>
    </xf>
    <xf numFmtId="0" fontId="5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wrapText="1"/>
    </xf>
    <xf numFmtId="4" fontId="54" fillId="33" borderId="16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56" fillId="0" borderId="0" xfId="0" applyFont="1" applyAlignment="1">
      <alignment/>
    </xf>
    <xf numFmtId="0" fontId="55" fillId="0" borderId="17" xfId="0" applyFont="1" applyBorder="1" applyAlignment="1">
      <alignment horizontal="center" vertical="center" wrapText="1"/>
    </xf>
    <xf numFmtId="4" fontId="54" fillId="33" borderId="18" xfId="0" applyNumberFormat="1" applyFont="1" applyFill="1" applyBorder="1" applyAlignment="1">
      <alignment horizontal="center" wrapText="1"/>
    </xf>
    <xf numFmtId="4" fontId="54" fillId="33" borderId="19" xfId="0" applyNumberFormat="1" applyFont="1" applyFill="1" applyBorder="1" applyAlignment="1">
      <alignment horizontal="center" wrapText="1"/>
    </xf>
    <xf numFmtId="4" fontId="54" fillId="33" borderId="13" xfId="0" applyNumberFormat="1" applyFont="1" applyFill="1" applyBorder="1" applyAlignment="1">
      <alignment horizontal="center" wrapText="1"/>
    </xf>
    <xf numFmtId="4" fontId="54" fillId="33" borderId="14" xfId="0" applyNumberFormat="1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vertical="center"/>
    </xf>
    <xf numFmtId="169" fontId="8" fillId="0" borderId="21" xfId="0" applyNumberFormat="1" applyFont="1" applyBorder="1" applyAlignment="1">
      <alignment/>
    </xf>
    <xf numFmtId="169" fontId="8" fillId="0" borderId="16" xfId="0" applyNumberFormat="1" applyFont="1" applyBorder="1" applyAlignment="1">
      <alignment/>
    </xf>
    <xf numFmtId="4" fontId="54" fillId="35" borderId="22" xfId="0" applyNumberFormat="1" applyFont="1" applyFill="1" applyBorder="1" applyAlignment="1">
      <alignment horizontal="center" wrapText="1"/>
    </xf>
    <xf numFmtId="4" fontId="54" fillId="35" borderId="23" xfId="0" applyNumberFormat="1" applyFont="1" applyFill="1" applyBorder="1" applyAlignment="1">
      <alignment horizontal="center" wrapText="1"/>
    </xf>
    <xf numFmtId="4" fontId="54" fillId="35" borderId="15" xfId="0" applyNumberFormat="1" applyFont="1" applyFill="1" applyBorder="1" applyAlignment="1">
      <alignment horizontal="center" wrapText="1"/>
    </xf>
    <xf numFmtId="4" fontId="54" fillId="33" borderId="24" xfId="0" applyNumberFormat="1" applyFont="1" applyFill="1" applyBorder="1" applyAlignment="1">
      <alignment horizontal="center" wrapText="1"/>
    </xf>
    <xf numFmtId="168" fontId="54" fillId="35" borderId="25" xfId="0" applyNumberFormat="1" applyFont="1" applyFill="1" applyBorder="1" applyAlignment="1">
      <alignment horizontal="center" wrapText="1"/>
    </xf>
    <xf numFmtId="168" fontId="54" fillId="35" borderId="26" xfId="0" applyNumberFormat="1" applyFont="1" applyFill="1" applyBorder="1" applyAlignment="1">
      <alignment horizontal="center" wrapText="1"/>
    </xf>
    <xf numFmtId="168" fontId="54" fillId="35" borderId="16" xfId="0" applyNumberFormat="1" applyFont="1" applyFill="1" applyBorder="1" applyAlignment="1">
      <alignment horizontal="center" wrapText="1"/>
    </xf>
    <xf numFmtId="168" fontId="54" fillId="35" borderId="27" xfId="0" applyNumberFormat="1" applyFont="1" applyFill="1" applyBorder="1" applyAlignment="1">
      <alignment horizontal="center" wrapText="1"/>
    </xf>
    <xf numFmtId="168" fontId="54" fillId="35" borderId="28" xfId="0" applyNumberFormat="1" applyFont="1" applyFill="1" applyBorder="1" applyAlignment="1">
      <alignment horizontal="center" wrapText="1"/>
    </xf>
    <xf numFmtId="168" fontId="54" fillId="35" borderId="1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169" fontId="8" fillId="0" borderId="32" xfId="0" applyNumberFormat="1" applyFont="1" applyBorder="1" applyAlignment="1">
      <alignment/>
    </xf>
    <xf numFmtId="169" fontId="8" fillId="0" borderId="33" xfId="0" applyNumberFormat="1" applyFont="1" applyBorder="1" applyAlignment="1">
      <alignment/>
    </xf>
    <xf numFmtId="169" fontId="8" fillId="0" borderId="31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69" fontId="8" fillId="0" borderId="34" xfId="0" applyNumberFormat="1" applyFont="1" applyBorder="1" applyAlignment="1">
      <alignment/>
    </xf>
    <xf numFmtId="169" fontId="8" fillId="0" borderId="27" xfId="0" applyNumberFormat="1" applyFont="1" applyBorder="1" applyAlignment="1">
      <alignment/>
    </xf>
    <xf numFmtId="169" fontId="8" fillId="0" borderId="24" xfId="0" applyNumberFormat="1" applyFont="1" applyBorder="1" applyAlignment="1">
      <alignment/>
    </xf>
    <xf numFmtId="169" fontId="8" fillId="0" borderId="35" xfId="0" applyNumberFormat="1" applyFont="1" applyBorder="1" applyAlignment="1">
      <alignment/>
    </xf>
    <xf numFmtId="169" fontId="8" fillId="0" borderId="36" xfId="0" applyNumberFormat="1" applyFont="1" applyBorder="1" applyAlignment="1">
      <alignment/>
    </xf>
    <xf numFmtId="169" fontId="8" fillId="0" borderId="37" xfId="0" applyNumberFormat="1" applyFont="1" applyBorder="1" applyAlignment="1">
      <alignment/>
    </xf>
    <xf numFmtId="169" fontId="8" fillId="0" borderId="38" xfId="0" applyNumberFormat="1" applyFont="1" applyBorder="1" applyAlignment="1">
      <alignment/>
    </xf>
    <xf numFmtId="169" fontId="8" fillId="0" borderId="39" xfId="0" applyNumberFormat="1" applyFont="1" applyBorder="1" applyAlignment="1">
      <alignment/>
    </xf>
    <xf numFmtId="169" fontId="8" fillId="0" borderId="40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8" fillId="0" borderId="0" xfId="0" applyNumberFormat="1" applyFont="1" applyBorder="1" applyAlignment="1">
      <alignment/>
    </xf>
    <xf numFmtId="4" fontId="54" fillId="35" borderId="54" xfId="0" applyNumberFormat="1" applyFont="1" applyFill="1" applyBorder="1" applyAlignment="1">
      <alignment horizontal="center" wrapText="1"/>
    </xf>
    <xf numFmtId="168" fontId="54" fillId="35" borderId="33" xfId="0" applyNumberFormat="1" applyFont="1" applyFill="1" applyBorder="1" applyAlignment="1">
      <alignment horizontal="center" wrapText="1"/>
    </xf>
    <xf numFmtId="168" fontId="54" fillId="35" borderId="42" xfId="0" applyNumberFormat="1" applyFont="1" applyFill="1" applyBorder="1" applyAlignment="1">
      <alignment horizontal="center" wrapText="1"/>
    </xf>
    <xf numFmtId="4" fontId="54" fillId="0" borderId="55" xfId="0" applyNumberFormat="1" applyFont="1" applyFill="1" applyBorder="1" applyAlignment="1">
      <alignment horizontal="center" wrapText="1"/>
    </xf>
    <xf numFmtId="4" fontId="54" fillId="0" borderId="56" xfId="0" applyNumberFormat="1" applyFont="1" applyFill="1" applyBorder="1" applyAlignment="1">
      <alignment horizontal="center" wrapText="1"/>
    </xf>
    <xf numFmtId="4" fontId="54" fillId="33" borderId="57" xfId="0" applyNumberFormat="1" applyFont="1" applyFill="1" applyBorder="1" applyAlignment="1">
      <alignment horizontal="center" wrapText="1"/>
    </xf>
    <xf numFmtId="4" fontId="54" fillId="33" borderId="58" xfId="0" applyNumberFormat="1" applyFont="1" applyFill="1" applyBorder="1" applyAlignment="1">
      <alignment horizontal="center" wrapText="1"/>
    </xf>
    <xf numFmtId="4" fontId="54" fillId="33" borderId="20" xfId="0" applyNumberFormat="1" applyFont="1" applyFill="1" applyBorder="1" applyAlignment="1">
      <alignment horizontal="center" wrapText="1"/>
    </xf>
    <xf numFmtId="4" fontId="54" fillId="35" borderId="20" xfId="0" applyNumberFormat="1" applyFont="1" applyFill="1" applyBorder="1" applyAlignment="1">
      <alignment horizontal="center" wrapText="1"/>
    </xf>
    <xf numFmtId="4" fontId="54" fillId="33" borderId="29" xfId="0" applyNumberFormat="1" applyFont="1" applyFill="1" applyBorder="1" applyAlignment="1">
      <alignment horizontal="center" wrapText="1"/>
    </xf>
    <xf numFmtId="168" fontId="54" fillId="35" borderId="59" xfId="0" applyNumberFormat="1" applyFont="1" applyFill="1" applyBorder="1" applyAlignment="1">
      <alignment horizontal="center" wrapText="1"/>
    </xf>
    <xf numFmtId="168" fontId="54" fillId="35" borderId="21" xfId="0" applyNumberFormat="1" applyFont="1" applyFill="1" applyBorder="1" applyAlignment="1">
      <alignment horizontal="center" wrapText="1"/>
    </xf>
    <xf numFmtId="4" fontId="54" fillId="33" borderId="21" xfId="0" applyNumberFormat="1" applyFont="1" applyFill="1" applyBorder="1" applyAlignment="1">
      <alignment horizontal="center" wrapText="1"/>
    </xf>
    <xf numFmtId="168" fontId="54" fillId="35" borderId="32" xfId="0" applyNumberFormat="1" applyFont="1" applyFill="1" applyBorder="1" applyAlignment="1">
      <alignment horizontal="center" wrapText="1"/>
    </xf>
    <xf numFmtId="168" fontId="54" fillId="35" borderId="6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" fillId="34" borderId="61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4" fontId="54" fillId="33" borderId="64" xfId="0" applyNumberFormat="1" applyFont="1" applyFill="1" applyBorder="1" applyAlignment="1">
      <alignment horizontal="center" wrapText="1"/>
    </xf>
    <xf numFmtId="0" fontId="55" fillId="0" borderId="6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/>
    </xf>
    <xf numFmtId="0" fontId="55" fillId="0" borderId="68" xfId="0" applyFont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/>
    </xf>
    <xf numFmtId="0" fontId="55" fillId="0" borderId="70" xfId="0" applyFont="1" applyBorder="1" applyAlignment="1">
      <alignment horizontal="center" vertical="center" wrapText="1"/>
    </xf>
    <xf numFmtId="0" fontId="5" fillId="34" borderId="71" xfId="0" applyFont="1" applyFill="1" applyBorder="1" applyAlignment="1">
      <alignment horizontal="center" vertical="center"/>
    </xf>
    <xf numFmtId="4" fontId="54" fillId="33" borderId="66" xfId="0" applyNumberFormat="1" applyFont="1" applyFill="1" applyBorder="1" applyAlignment="1">
      <alignment horizontal="center" wrapText="1"/>
    </xf>
    <xf numFmtId="4" fontId="54" fillId="33" borderId="72" xfId="0" applyNumberFormat="1" applyFont="1" applyFill="1" applyBorder="1" applyAlignment="1">
      <alignment horizontal="center" wrapText="1"/>
    </xf>
    <xf numFmtId="0" fontId="54" fillId="0" borderId="73" xfId="0" applyFont="1" applyBorder="1" applyAlignment="1">
      <alignment wrapText="1"/>
    </xf>
    <xf numFmtId="0" fontId="54" fillId="0" borderId="0" xfId="0" applyFont="1" applyBorder="1" applyAlignment="1">
      <alignment/>
    </xf>
    <xf numFmtId="0" fontId="5" fillId="36" borderId="20" xfId="0" applyFont="1" applyFill="1" applyBorder="1" applyAlignment="1">
      <alignment horizontal="center" vertical="center"/>
    </xf>
    <xf numFmtId="4" fontId="54" fillId="37" borderId="20" xfId="0" applyNumberFormat="1" applyFont="1" applyFill="1" applyBorder="1" applyAlignment="1">
      <alignment horizontal="center" wrapText="1"/>
    </xf>
    <xf numFmtId="168" fontId="54" fillId="35" borderId="74" xfId="0" applyNumberFormat="1" applyFont="1" applyFill="1" applyBorder="1" applyAlignment="1">
      <alignment horizontal="center" wrapText="1"/>
    </xf>
    <xf numFmtId="4" fontId="54" fillId="35" borderId="64" xfId="0" applyNumberFormat="1" applyFont="1" applyFill="1" applyBorder="1" applyAlignment="1">
      <alignment horizontal="center" wrapText="1"/>
    </xf>
    <xf numFmtId="0" fontId="54" fillId="0" borderId="75" xfId="0" applyFont="1" applyBorder="1" applyAlignment="1">
      <alignment wrapText="1"/>
    </xf>
    <xf numFmtId="0" fontId="54" fillId="0" borderId="28" xfId="0" applyFont="1" applyBorder="1" applyAlignment="1">
      <alignment wrapText="1"/>
    </xf>
    <xf numFmtId="0" fontId="54" fillId="0" borderId="76" xfId="0" applyFont="1" applyBorder="1" applyAlignment="1">
      <alignment wrapText="1"/>
    </xf>
    <xf numFmtId="0" fontId="54" fillId="0" borderId="77" xfId="0" applyFont="1" applyBorder="1" applyAlignment="1">
      <alignment wrapText="1"/>
    </xf>
    <xf numFmtId="0" fontId="59" fillId="0" borderId="6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4" fontId="59" fillId="0" borderId="78" xfId="0" applyNumberFormat="1" applyFont="1" applyFill="1" applyBorder="1" applyAlignment="1">
      <alignment horizontal="center" vertical="center" wrapText="1"/>
    </xf>
    <xf numFmtId="4" fontId="59" fillId="0" borderId="79" xfId="0" applyNumberFormat="1" applyFont="1" applyFill="1" applyBorder="1" applyAlignment="1">
      <alignment horizontal="center" vertical="center" wrapText="1"/>
    </xf>
    <xf numFmtId="4" fontId="59" fillId="0" borderId="8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9" fillId="0" borderId="19" xfId="0" applyFont="1" applyBorder="1" applyAlignment="1">
      <alignment wrapText="1"/>
    </xf>
    <xf numFmtId="0" fontId="59" fillId="0" borderId="81" xfId="0" applyFont="1" applyBorder="1" applyAlignment="1">
      <alignment wrapText="1"/>
    </xf>
    <xf numFmtId="0" fontId="56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4" fillId="0" borderId="82" xfId="0" applyFont="1" applyBorder="1" applyAlignment="1">
      <alignment wrapText="1"/>
    </xf>
    <xf numFmtId="0" fontId="54" fillId="0" borderId="74" xfId="0" applyFont="1" applyBorder="1" applyAlignment="1">
      <alignment wrapText="1"/>
    </xf>
    <xf numFmtId="0" fontId="54" fillId="0" borderId="66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60" fillId="0" borderId="0" xfId="0" applyFont="1" applyAlignment="1">
      <alignment horizontal="left"/>
    </xf>
    <xf numFmtId="0" fontId="0" fillId="0" borderId="3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5" fillId="0" borderId="58" xfId="0" applyFont="1" applyBorder="1" applyAlignment="1">
      <alignment horizontal="center" vertical="top"/>
    </xf>
    <xf numFmtId="0" fontId="55" fillId="0" borderId="58" xfId="0" applyFont="1" applyBorder="1" applyAlignment="1">
      <alignment horizontal="center" wrapText="1"/>
    </xf>
    <xf numFmtId="0" fontId="59" fillId="0" borderId="83" xfId="0" applyFont="1" applyBorder="1" applyAlignment="1">
      <alignment horizontal="center" vertical="center"/>
    </xf>
    <xf numFmtId="0" fontId="59" fillId="0" borderId="84" xfId="0" applyFont="1" applyBorder="1" applyAlignment="1">
      <alignment horizontal="center" vertical="center"/>
    </xf>
    <xf numFmtId="0" fontId="59" fillId="0" borderId="85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8" fillId="0" borderId="7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54" fillId="0" borderId="67" xfId="0" applyFont="1" applyBorder="1" applyAlignment="1">
      <alignment wrapText="1"/>
    </xf>
    <xf numFmtId="0" fontId="54" fillId="0" borderId="86" xfId="0" applyFont="1" applyBorder="1" applyAlignment="1">
      <alignment wrapText="1"/>
    </xf>
    <xf numFmtId="0" fontId="59" fillId="0" borderId="87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88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4" fillId="0" borderId="88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0" fontId="59" fillId="0" borderId="89" xfId="0" applyFont="1" applyBorder="1" applyAlignment="1">
      <alignment horizontal="center" vertical="center" wrapText="1"/>
    </xf>
    <xf numFmtId="0" fontId="59" fillId="0" borderId="90" xfId="0" applyFont="1" applyBorder="1" applyAlignment="1">
      <alignment horizontal="center" vertical="center" wrapText="1"/>
    </xf>
    <xf numFmtId="4" fontId="54" fillId="33" borderId="50" xfId="0" applyNumberFormat="1" applyFont="1" applyFill="1" applyBorder="1" applyAlignment="1">
      <alignment horizontal="center" wrapText="1"/>
    </xf>
    <xf numFmtId="4" fontId="54" fillId="33" borderId="10" xfId="0" applyNumberFormat="1" applyFont="1" applyFill="1" applyBorder="1" applyAlignment="1">
      <alignment horizontal="center" wrapText="1"/>
    </xf>
    <xf numFmtId="0" fontId="5" fillId="34" borderId="91" xfId="0" applyFont="1" applyFill="1" applyBorder="1" applyAlignment="1">
      <alignment horizontal="center" vertical="center"/>
    </xf>
    <xf numFmtId="0" fontId="5" fillId="34" borderId="92" xfId="0" applyFont="1" applyFill="1" applyBorder="1" applyAlignment="1">
      <alignment horizontal="center" vertical="center"/>
    </xf>
    <xf numFmtId="4" fontId="54" fillId="33" borderId="93" xfId="0" applyNumberFormat="1" applyFont="1" applyFill="1" applyBorder="1" applyAlignment="1">
      <alignment horizontal="center" wrapText="1"/>
    </xf>
    <xf numFmtId="4" fontId="54" fillId="33" borderId="94" xfId="0" applyNumberFormat="1" applyFont="1" applyFill="1" applyBorder="1" applyAlignment="1">
      <alignment horizontal="center" wrapText="1"/>
    </xf>
    <xf numFmtId="168" fontId="54" fillId="35" borderId="33" xfId="0" applyNumberFormat="1" applyFont="1" applyFill="1" applyBorder="1" applyAlignment="1">
      <alignment horizontal="center" wrapText="1"/>
    </xf>
    <xf numFmtId="168" fontId="54" fillId="35" borderId="28" xfId="0" applyNumberFormat="1" applyFont="1" applyFill="1" applyBorder="1" applyAlignment="1">
      <alignment horizontal="center" wrapText="1"/>
    </xf>
    <xf numFmtId="168" fontId="54" fillId="35" borderId="35" xfId="0" applyNumberFormat="1" applyFont="1" applyFill="1" applyBorder="1" applyAlignment="1">
      <alignment horizontal="center" wrapText="1"/>
    </xf>
    <xf numFmtId="168" fontId="54" fillId="35" borderId="74" xfId="0" applyNumberFormat="1" applyFont="1" applyFill="1" applyBorder="1" applyAlignment="1">
      <alignment horizontal="center" wrapText="1"/>
    </xf>
    <xf numFmtId="168" fontId="54" fillId="35" borderId="75" xfId="0" applyNumberFormat="1" applyFont="1" applyFill="1" applyBorder="1" applyAlignment="1">
      <alignment horizontal="center" wrapText="1"/>
    </xf>
    <xf numFmtId="168" fontId="54" fillId="35" borderId="25" xfId="0" applyNumberFormat="1" applyFont="1" applyFill="1" applyBorder="1" applyAlignment="1">
      <alignment horizontal="center" wrapText="1"/>
    </xf>
    <xf numFmtId="168" fontId="54" fillId="35" borderId="82" xfId="0" applyNumberFormat="1" applyFont="1" applyFill="1" applyBorder="1" applyAlignment="1">
      <alignment horizontal="center" wrapText="1"/>
    </xf>
    <xf numFmtId="168" fontId="54" fillId="35" borderId="95" xfId="0" applyNumberFormat="1" applyFont="1" applyFill="1" applyBorder="1" applyAlignment="1">
      <alignment horizontal="center" wrapText="1"/>
    </xf>
    <xf numFmtId="4" fontId="54" fillId="33" borderId="61" xfId="0" applyNumberFormat="1" applyFont="1" applyFill="1" applyBorder="1" applyAlignment="1">
      <alignment horizontal="center" wrapText="1"/>
    </xf>
    <xf numFmtId="4" fontId="54" fillId="33" borderId="96" xfId="0" applyNumberFormat="1" applyFont="1" applyFill="1" applyBorder="1" applyAlignment="1">
      <alignment horizontal="center" wrapText="1"/>
    </xf>
    <xf numFmtId="168" fontId="54" fillId="35" borderId="32" xfId="0" applyNumberFormat="1" applyFont="1" applyFill="1" applyBorder="1" applyAlignment="1">
      <alignment horizontal="center" wrapText="1"/>
    </xf>
    <xf numFmtId="168" fontId="54" fillId="35" borderId="77" xfId="0" applyNumberFormat="1" applyFont="1" applyFill="1" applyBorder="1" applyAlignment="1">
      <alignment horizontal="center" wrapText="1"/>
    </xf>
    <xf numFmtId="168" fontId="54" fillId="35" borderId="97" xfId="0" applyNumberFormat="1" applyFont="1" applyFill="1" applyBorder="1" applyAlignment="1">
      <alignment horizontal="center" wrapText="1"/>
    </xf>
    <xf numFmtId="168" fontId="54" fillId="35" borderId="98" xfId="0" applyNumberFormat="1" applyFont="1" applyFill="1" applyBorder="1" applyAlignment="1">
      <alignment horizontal="center" wrapText="1"/>
    </xf>
    <xf numFmtId="0" fontId="54" fillId="0" borderId="99" xfId="0" applyFont="1" applyBorder="1" applyAlignment="1">
      <alignment wrapText="1"/>
    </xf>
    <xf numFmtId="0" fontId="54" fillId="0" borderId="32" xfId="0" applyFont="1" applyBorder="1" applyAlignment="1">
      <alignment wrapText="1"/>
    </xf>
    <xf numFmtId="0" fontId="54" fillId="0" borderId="91" xfId="0" applyFont="1" applyBorder="1" applyAlignment="1">
      <alignment wrapText="1"/>
    </xf>
    <xf numFmtId="0" fontId="54" fillId="0" borderId="33" xfId="0" applyFont="1" applyBorder="1" applyAlignment="1">
      <alignment wrapText="1"/>
    </xf>
    <xf numFmtId="0" fontId="5" fillId="34" borderId="33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9" fillId="0" borderId="10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01" xfId="0" applyFont="1" applyBorder="1" applyAlignment="1">
      <alignment horizontal="center" vertical="center"/>
    </xf>
    <xf numFmtId="0" fontId="54" fillId="0" borderId="93" xfId="0" applyFont="1" applyBorder="1" applyAlignment="1">
      <alignment wrapText="1"/>
    </xf>
    <xf numFmtId="0" fontId="54" fillId="0" borderId="29" xfId="0" applyFont="1" applyBorder="1" applyAlignment="1">
      <alignment wrapText="1"/>
    </xf>
    <xf numFmtId="0" fontId="54" fillId="0" borderId="102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85" workbookViewId="0" topLeftCell="A10">
      <selection activeCell="B15" sqref="B15:G15"/>
    </sheetView>
  </sheetViews>
  <sheetFormatPr defaultColWidth="8.796875" defaultRowHeight="14.25"/>
  <cols>
    <col min="2" max="2" width="10" style="0" customWidth="1"/>
    <col min="3" max="10" width="8.19921875" style="0" customWidth="1"/>
    <col min="11" max="11" width="7.5" style="0" customWidth="1"/>
    <col min="12" max="12" width="14.59765625" style="0" customWidth="1"/>
    <col min="19" max="19" width="7.5" style="0" customWidth="1"/>
  </cols>
  <sheetData>
    <row r="1" ht="14.25">
      <c r="J1" s="1" t="s">
        <v>45</v>
      </c>
    </row>
    <row r="2" spans="9:10" ht="14.25">
      <c r="I2" s="2"/>
      <c r="J2" s="13" t="s">
        <v>46</v>
      </c>
    </row>
    <row r="3" spans="9:10" ht="14.25">
      <c r="I3" s="2"/>
      <c r="J3" s="13"/>
    </row>
    <row r="4" ht="14.25" customHeight="1"/>
    <row r="5" spans="1:10" ht="14.25" customHeight="1">
      <c r="A5" s="120" t="s">
        <v>0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30" customHeight="1">
      <c r="A6" s="117" t="s">
        <v>38</v>
      </c>
      <c r="B6" s="117"/>
      <c r="C6" s="117"/>
      <c r="D6" s="117"/>
      <c r="E6" s="117"/>
      <c r="F6" s="117"/>
      <c r="G6" s="117"/>
      <c r="H6" s="117"/>
      <c r="I6" s="117"/>
      <c r="J6" s="117"/>
    </row>
    <row r="7" ht="14.25" customHeight="1">
      <c r="J7" s="13"/>
    </row>
    <row r="8" spans="1:2" ht="14.25" customHeight="1">
      <c r="A8" s="134" t="s">
        <v>20</v>
      </c>
      <c r="B8" s="134"/>
    </row>
    <row r="9" spans="1:10" ht="30" customHeight="1">
      <c r="A9" s="135"/>
      <c r="B9" s="136"/>
      <c r="C9" s="136"/>
      <c r="D9" s="136"/>
      <c r="E9" s="136"/>
      <c r="F9" s="136"/>
      <c r="G9" s="136"/>
      <c r="H9" s="136"/>
      <c r="I9" s="136"/>
      <c r="J9" s="137"/>
    </row>
    <row r="10" spans="1:10" ht="14.25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ht="14.25">
      <c r="J11" s="13"/>
    </row>
    <row r="12" spans="1:10" ht="16.5" thickBot="1">
      <c r="A12" s="143" t="s">
        <v>37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7" ht="15.75" thickBot="1">
      <c r="A13" s="40"/>
      <c r="B13" s="112" t="s">
        <v>1</v>
      </c>
      <c r="C13" s="113"/>
      <c r="D13" s="140" t="s">
        <v>2</v>
      </c>
      <c r="E13" s="141"/>
      <c r="F13" s="141"/>
      <c r="G13" s="142"/>
    </row>
    <row r="14" spans="1:7" ht="29.25" thickBot="1">
      <c r="A14" s="54" t="s">
        <v>23</v>
      </c>
      <c r="B14" s="55" t="s">
        <v>24</v>
      </c>
      <c r="C14" s="56" t="s">
        <v>25</v>
      </c>
      <c r="D14" s="57" t="s">
        <v>26</v>
      </c>
      <c r="E14" s="58" t="s">
        <v>27</v>
      </c>
      <c r="F14" s="58" t="s">
        <v>28</v>
      </c>
      <c r="G14" s="59" t="s">
        <v>29</v>
      </c>
    </row>
    <row r="15" spans="1:7" ht="45.75" customHeight="1" thickBot="1">
      <c r="A15" s="60" t="s">
        <v>30</v>
      </c>
      <c r="B15" s="61"/>
      <c r="C15" s="62"/>
      <c r="D15" s="63"/>
      <c r="E15" s="64"/>
      <c r="F15" s="64"/>
      <c r="G15" s="65"/>
    </row>
    <row r="16" spans="1:7" ht="14.25">
      <c r="A16" s="144" t="s">
        <v>31</v>
      </c>
      <c r="B16" s="145"/>
      <c r="C16" s="145"/>
      <c r="D16" s="145"/>
      <c r="E16" s="145"/>
      <c r="F16" s="145"/>
      <c r="G16" s="146"/>
    </row>
    <row r="17" spans="1:10" ht="14.25" customHeight="1">
      <c r="A17" s="51" t="s">
        <v>32</v>
      </c>
      <c r="B17" s="48">
        <f>15*B15*100/(75*1000)</f>
        <v>0</v>
      </c>
      <c r="C17" s="37">
        <f>15*C15*100/(75*1000)</f>
        <v>0</v>
      </c>
      <c r="D17" s="39">
        <f>D15*1.8/1000</f>
        <v>0</v>
      </c>
      <c r="E17" s="21">
        <f>E15*15/1000000000</f>
        <v>0</v>
      </c>
      <c r="F17" s="21">
        <f>F15*0.002</f>
        <v>0</v>
      </c>
      <c r="G17" s="42">
        <f>G15*3.371/1000</f>
        <v>0</v>
      </c>
      <c r="H17" s="14"/>
      <c r="I17" s="14"/>
      <c r="J17" s="14"/>
    </row>
    <row r="18" spans="1:7" ht="15">
      <c r="A18" s="52" t="s">
        <v>33</v>
      </c>
      <c r="B18" s="49">
        <f>B15*9.6/1000</f>
        <v>0</v>
      </c>
      <c r="C18" s="38">
        <f>C15*9.6/1000</f>
        <v>0</v>
      </c>
      <c r="D18" s="39">
        <f>D15*5.7/1000</f>
        <v>0</v>
      </c>
      <c r="E18" s="22">
        <f>E15*0.6/1000000000</f>
        <v>0</v>
      </c>
      <c r="F18" s="22">
        <f>F15*0.001</f>
        <v>0</v>
      </c>
      <c r="G18" s="43">
        <f>G15*1.461/1000</f>
        <v>0</v>
      </c>
    </row>
    <row r="19" spans="1:7" ht="15">
      <c r="A19" s="52" t="s">
        <v>34</v>
      </c>
      <c r="B19" s="49">
        <f>B15*1/1000</f>
        <v>0</v>
      </c>
      <c r="C19" s="38">
        <f>C15*1.5/1000</f>
        <v>0</v>
      </c>
      <c r="D19" s="39">
        <f>D15*5/1000</f>
        <v>0</v>
      </c>
      <c r="E19" s="22">
        <f>E15*1280/1000000000</f>
        <v>0</v>
      </c>
      <c r="F19" s="22">
        <f>0.001*F15</f>
        <v>0</v>
      </c>
      <c r="G19" s="43">
        <f>1.798*G15/1000</f>
        <v>0</v>
      </c>
    </row>
    <row r="20" spans="1:7" ht="14.25">
      <c r="A20" s="52" t="s">
        <v>35</v>
      </c>
      <c r="B20" s="49">
        <f>B15*45/1000</f>
        <v>0</v>
      </c>
      <c r="C20" s="38">
        <f>C15*25/1000</f>
        <v>0</v>
      </c>
      <c r="D20" s="39">
        <f>D15*0.6/1000</f>
        <v>0</v>
      </c>
      <c r="E20" s="22">
        <f>E15*360/1000000000</f>
        <v>0</v>
      </c>
      <c r="F20" s="22">
        <f>0.004*F15</f>
        <v>0</v>
      </c>
      <c r="G20" s="43">
        <f>1.798*G15/1000</f>
        <v>0</v>
      </c>
    </row>
    <row r="21" spans="1:7" ht="15.75" thickBot="1">
      <c r="A21" s="53" t="s">
        <v>36</v>
      </c>
      <c r="B21" s="50">
        <f>B15*2000/1000</f>
        <v>0</v>
      </c>
      <c r="C21" s="45">
        <f>C15*2400/1000</f>
        <v>0</v>
      </c>
      <c r="D21" s="46">
        <f>D15*1650/1000</f>
        <v>0</v>
      </c>
      <c r="E21" s="44">
        <f>E15*1964000/1000000000</f>
        <v>0</v>
      </c>
      <c r="F21" s="44">
        <v>0</v>
      </c>
      <c r="G21" s="47">
        <v>0</v>
      </c>
    </row>
    <row r="22" spans="1:7" ht="14.25">
      <c r="A22" s="66"/>
      <c r="B22" s="67"/>
      <c r="C22" s="67"/>
      <c r="D22" s="67"/>
      <c r="E22" s="67"/>
      <c r="F22" s="67"/>
      <c r="G22" s="67"/>
    </row>
    <row r="23" ht="15" thickBot="1"/>
    <row r="24" spans="1:9" ht="15" thickBot="1">
      <c r="A24" s="3"/>
      <c r="B24" s="112" t="s">
        <v>1</v>
      </c>
      <c r="C24" s="113"/>
      <c r="D24" s="149" t="s">
        <v>2</v>
      </c>
      <c r="E24" s="150"/>
      <c r="F24" s="150"/>
      <c r="G24" s="150"/>
      <c r="H24" s="150"/>
      <c r="I24" s="151"/>
    </row>
    <row r="25" spans="1:18" ht="45.75" thickBot="1">
      <c r="A25" s="154" t="s">
        <v>4</v>
      </c>
      <c r="B25" s="15" t="s">
        <v>5</v>
      </c>
      <c r="C25" s="5" t="s">
        <v>6</v>
      </c>
      <c r="D25" s="8" t="s">
        <v>7</v>
      </c>
      <c r="E25" s="9" t="s">
        <v>8</v>
      </c>
      <c r="F25" s="9" t="s">
        <v>9</v>
      </c>
      <c r="G25" s="9" t="s">
        <v>10</v>
      </c>
      <c r="H25" s="9" t="s">
        <v>11</v>
      </c>
      <c r="I25" s="10" t="s">
        <v>12</v>
      </c>
      <c r="L25" s="33"/>
      <c r="M25" s="41"/>
      <c r="N25" s="41"/>
      <c r="O25" s="41"/>
      <c r="P25" s="41"/>
      <c r="Q25" s="41"/>
      <c r="R25" s="41"/>
    </row>
    <row r="26" spans="1:18" ht="26.25" customHeight="1" thickBot="1">
      <c r="A26" s="155"/>
      <c r="B26" s="4" t="s">
        <v>52</v>
      </c>
      <c r="C26" s="23">
        <f>IF(B15+C15=0,"",B15+C15)</f>
      </c>
      <c r="D26" s="24">
        <f>IF(E15=0,"",E15)</f>
      </c>
      <c r="E26" s="25">
        <f>IF(D15=0,"",D15)</f>
      </c>
      <c r="F26" s="11"/>
      <c r="G26" s="11"/>
      <c r="H26" s="11"/>
      <c r="I26" s="68">
        <f>IF(F15+G15=0,"",F15+G15)</f>
      </c>
      <c r="J26" s="71"/>
      <c r="L26" s="33"/>
      <c r="M26" s="33"/>
      <c r="N26" s="33"/>
      <c r="O26" s="33"/>
      <c r="P26" s="33"/>
      <c r="Q26" s="33"/>
      <c r="R26" s="33"/>
    </row>
    <row r="27" spans="1:18" ht="28.5" customHeight="1">
      <c r="A27" s="110" t="s">
        <v>40</v>
      </c>
      <c r="B27" s="111"/>
      <c r="C27" s="34"/>
      <c r="D27" s="35"/>
      <c r="E27" s="20"/>
      <c r="F27" s="20"/>
      <c r="G27" s="20"/>
      <c r="H27" s="20"/>
      <c r="I27" s="34"/>
      <c r="J27" s="71"/>
      <c r="L27" s="33"/>
      <c r="M27" s="33"/>
      <c r="N27" s="33"/>
      <c r="O27" s="33"/>
      <c r="P27" s="33"/>
      <c r="Q27" s="33"/>
      <c r="R27" s="33"/>
    </row>
    <row r="28" spans="1:18" ht="25.5" customHeight="1" thickBot="1">
      <c r="A28" s="108" t="s">
        <v>39</v>
      </c>
      <c r="B28" s="109"/>
      <c r="C28" s="34"/>
      <c r="D28" s="36"/>
      <c r="E28" s="20"/>
      <c r="F28" s="20"/>
      <c r="G28" s="20"/>
      <c r="H28" s="20"/>
      <c r="I28" s="34"/>
      <c r="J28" s="72"/>
      <c r="L28" s="33"/>
      <c r="M28" s="33"/>
      <c r="N28" s="33"/>
      <c r="O28" s="33"/>
      <c r="P28" s="33"/>
      <c r="Q28" s="33"/>
      <c r="R28" s="33"/>
    </row>
    <row r="29" spans="1:18" ht="28.5" customHeight="1" thickBot="1">
      <c r="A29" s="147" t="s">
        <v>41</v>
      </c>
      <c r="B29" s="148"/>
      <c r="C29" s="73"/>
      <c r="D29" s="74"/>
      <c r="E29" s="75"/>
      <c r="F29" s="75"/>
      <c r="G29" s="75"/>
      <c r="H29" s="76">
        <f>IF(H27=0,"",H27*1.8)</f>
      </c>
      <c r="I29" s="77"/>
      <c r="J29" s="152" t="s">
        <v>3</v>
      </c>
      <c r="L29" s="33"/>
      <c r="M29" s="33"/>
      <c r="N29" s="33"/>
      <c r="O29" s="33"/>
      <c r="P29" s="33"/>
      <c r="Q29" s="33"/>
      <c r="R29" s="33"/>
    </row>
    <row r="30" spans="1:18" ht="15" thickBot="1">
      <c r="A30" s="118"/>
      <c r="B30" s="119"/>
      <c r="C30" s="114" t="s">
        <v>13</v>
      </c>
      <c r="D30" s="115"/>
      <c r="E30" s="115"/>
      <c r="F30" s="115"/>
      <c r="G30" s="115"/>
      <c r="H30" s="115"/>
      <c r="I30" s="116"/>
      <c r="J30" s="153"/>
      <c r="L30" s="33"/>
      <c r="M30" s="33"/>
      <c r="N30" s="33"/>
      <c r="O30" s="33"/>
      <c r="P30" s="33"/>
      <c r="Q30" s="33"/>
      <c r="R30" s="33"/>
    </row>
    <row r="31" spans="1:18" ht="14.25">
      <c r="A31" s="110" t="s">
        <v>14</v>
      </c>
      <c r="B31" s="111"/>
      <c r="C31" s="82">
        <f>IF($B$15+$C$15=0,"",ROUND(B17+C17,3))</f>
      </c>
      <c r="D31" s="78">
        <f>IF($E$15=0,"",ROUND(E17,3))</f>
      </c>
      <c r="E31" s="79">
        <f>IF($D$15=0,"",ROUND(D17,3))</f>
      </c>
      <c r="F31" s="80"/>
      <c r="G31" s="80"/>
      <c r="H31" s="80"/>
      <c r="I31" s="81">
        <f>IF($F$15+$G$15=0,"",ROUND(F17+G17,3))</f>
      </c>
      <c r="J31" s="70">
        <f>IF(B15=0,"",ROUND(C31-SUM(D31:I31),3))</f>
      </c>
      <c r="L31" s="33"/>
      <c r="M31" s="33"/>
      <c r="N31" s="33"/>
      <c r="O31" s="33"/>
      <c r="P31" s="33"/>
      <c r="Q31" s="33"/>
      <c r="R31" s="33"/>
    </row>
    <row r="32" spans="1:18" ht="14.25">
      <c r="A32" s="108" t="s">
        <v>15</v>
      </c>
      <c r="B32" s="109"/>
      <c r="C32" s="27">
        <f>IF($B$15+$C$15=0,"",ROUND(B18+C18,3))</f>
      </c>
      <c r="D32" s="28">
        <f>IF($E$15=0,"",ROUND(E18,3))</f>
      </c>
      <c r="E32" s="29">
        <f>IF($D$15=0,"",ROUND(D18,3))</f>
      </c>
      <c r="F32" s="12"/>
      <c r="G32" s="12"/>
      <c r="H32" s="12"/>
      <c r="I32" s="69">
        <f>IF($F$15+$G$15=0,"",ROUND(F18+G18,3))</f>
      </c>
      <c r="J32" s="70">
        <f>IF(B15=0,"",ROUND(C32-SUM(D32:I32),3))</f>
      </c>
      <c r="L32" s="33"/>
      <c r="M32" s="33"/>
      <c r="N32" s="33"/>
      <c r="O32" s="33"/>
      <c r="P32" s="33"/>
      <c r="Q32" s="33"/>
      <c r="R32" s="33"/>
    </row>
    <row r="33" spans="1:18" ht="15.75" customHeight="1">
      <c r="A33" s="108" t="s">
        <v>16</v>
      </c>
      <c r="B33" s="109"/>
      <c r="C33" s="27">
        <f>IF($B$15+$C$15=0,"",ROUND(B19+C19,3))</f>
      </c>
      <c r="D33" s="28">
        <f>IF($E$15=0,"",ROUND(E19,3))</f>
      </c>
      <c r="E33" s="29">
        <f>IF($D$15=0,"",ROUND(D19,3))</f>
      </c>
      <c r="F33" s="12"/>
      <c r="G33" s="12"/>
      <c r="H33" s="12"/>
      <c r="I33" s="69">
        <f>IF($F$15+$G$15=0,"",ROUND(F19+G19,3))</f>
      </c>
      <c r="J33" s="70">
        <f>IF(B15=0,"",ROUND(C33-SUM(D33:I33),3))</f>
      </c>
      <c r="L33" s="33"/>
      <c r="M33" s="33"/>
      <c r="N33" s="33"/>
      <c r="O33" s="33"/>
      <c r="P33" s="33"/>
      <c r="Q33" s="33"/>
      <c r="R33" s="33"/>
    </row>
    <row r="34" spans="1:18" ht="14.25">
      <c r="A34" s="108" t="s">
        <v>17</v>
      </c>
      <c r="B34" s="109"/>
      <c r="C34" s="27">
        <f>IF($B$15+$C$15=0,"",ROUND(B20+C20,3))</f>
      </c>
      <c r="D34" s="28">
        <f>IF($E$15=0,"",ROUND(E20,3))</f>
      </c>
      <c r="E34" s="29">
        <f>IF($D$15=0,"",ROUND(D20,3))</f>
      </c>
      <c r="F34" s="12"/>
      <c r="G34" s="12"/>
      <c r="H34" s="12"/>
      <c r="I34" s="30">
        <f>IF($F$15+$G$15=0,"",ROUND(F20+G20,3))</f>
      </c>
      <c r="J34" s="31">
        <f>IF(B15=0,"",ROUND(C34-SUM(D34:I34),3))</f>
      </c>
      <c r="L34" s="33"/>
      <c r="M34" s="33"/>
      <c r="N34" s="33"/>
      <c r="O34" s="33"/>
      <c r="P34" s="33"/>
      <c r="Q34" s="33"/>
      <c r="R34" s="33"/>
    </row>
    <row r="35" spans="1:18" ht="15" thickBot="1">
      <c r="A35" s="130" t="s">
        <v>18</v>
      </c>
      <c r="B35" s="131"/>
      <c r="C35" s="27">
        <f>IF($B$15+$C$15=0,"",ROUND(B21+C21,3))</f>
      </c>
      <c r="D35" s="28">
        <f>IF($E$15=0,"",ROUND(E21,3))</f>
      </c>
      <c r="E35" s="29">
        <f>IF($D$15=0,"",ROUND(D21,3))</f>
      </c>
      <c r="F35" s="26"/>
      <c r="G35" s="26"/>
      <c r="H35" s="26"/>
      <c r="I35" s="30">
        <f>IF($F$15+$G$15=0,"",ROUND(F21+G21,3))</f>
      </c>
      <c r="J35" s="31">
        <f>IF(B15=0,"",ROUND(C35-SUM(D35:I35),3))</f>
      </c>
      <c r="L35" s="33"/>
      <c r="M35" s="33"/>
      <c r="N35" s="33"/>
      <c r="O35" s="33"/>
      <c r="P35" s="33"/>
      <c r="Q35" s="33"/>
      <c r="R35" s="33"/>
    </row>
    <row r="36" spans="1:18" ht="25.5" customHeight="1" thickBot="1">
      <c r="A36" s="132" t="s">
        <v>19</v>
      </c>
      <c r="B36" s="133"/>
      <c r="C36" s="16"/>
      <c r="D36" s="17"/>
      <c r="E36" s="18"/>
      <c r="F36" s="18"/>
      <c r="G36" s="18"/>
      <c r="H36" s="18"/>
      <c r="I36" s="19"/>
      <c r="J36" s="32">
        <f>IF(B15+C15=0,"",ROUND(2.9*J31+0.5*J34+2.9*J33+J32,3))</f>
      </c>
      <c r="L36" s="33"/>
      <c r="M36" s="33"/>
      <c r="N36" s="33"/>
      <c r="O36" s="33"/>
      <c r="P36" s="33"/>
      <c r="Q36" s="33"/>
      <c r="R36" s="33"/>
    </row>
    <row r="37" spans="1:18" ht="15.75">
      <c r="A37" s="84" t="s">
        <v>42</v>
      </c>
      <c r="B37" s="85"/>
      <c r="C37" s="85"/>
      <c r="D37" s="85"/>
      <c r="E37" s="85"/>
      <c r="F37" s="85"/>
      <c r="G37" s="85"/>
      <c r="H37" s="85"/>
      <c r="L37" s="33"/>
      <c r="M37" s="33"/>
      <c r="N37" s="33"/>
      <c r="O37" s="33"/>
      <c r="P37" s="33"/>
      <c r="Q37" s="33"/>
      <c r="R37" s="33"/>
    </row>
    <row r="38" spans="1:18" ht="15.75">
      <c r="A38" s="84" t="s">
        <v>43</v>
      </c>
      <c r="B38" s="85"/>
      <c r="C38" s="85"/>
      <c r="D38" s="85"/>
      <c r="E38" s="85"/>
      <c r="F38" s="85"/>
      <c r="G38" s="85"/>
      <c r="H38" s="85"/>
      <c r="L38" s="33"/>
      <c r="M38" s="33"/>
      <c r="N38" s="33"/>
      <c r="O38" s="33"/>
      <c r="P38" s="33"/>
      <c r="Q38" s="33"/>
      <c r="R38" s="33"/>
    </row>
    <row r="39" spans="1:18" ht="15.75">
      <c r="A39" s="84" t="s">
        <v>44</v>
      </c>
      <c r="B39" s="85"/>
      <c r="C39" s="85"/>
      <c r="D39" s="85"/>
      <c r="E39" s="85"/>
      <c r="F39" s="85"/>
      <c r="G39" s="85"/>
      <c r="H39" s="85"/>
      <c r="L39" s="33"/>
      <c r="M39" s="33"/>
      <c r="N39" s="33"/>
      <c r="O39" s="33"/>
      <c r="P39" s="33"/>
      <c r="Q39" s="33"/>
      <c r="R39" s="33"/>
    </row>
    <row r="40" spans="1:7" ht="15.75">
      <c r="A40" s="6"/>
      <c r="B40" s="7"/>
      <c r="C40" s="6"/>
      <c r="D40" s="6"/>
      <c r="E40" s="6"/>
      <c r="F40" s="6"/>
      <c r="G40" s="6"/>
    </row>
    <row r="41" spans="1:10" ht="15.75" customHeight="1">
      <c r="A41" s="121"/>
      <c r="B41" s="122"/>
      <c r="C41" s="122"/>
      <c r="D41" s="123"/>
      <c r="E41" s="6"/>
      <c r="F41" s="121"/>
      <c r="G41" s="122"/>
      <c r="H41" s="122"/>
      <c r="I41" s="122"/>
      <c r="J41" s="123"/>
    </row>
    <row r="42" spans="1:10" ht="15.75" customHeight="1">
      <c r="A42" s="124"/>
      <c r="B42" s="125"/>
      <c r="C42" s="125"/>
      <c r="D42" s="126"/>
      <c r="E42" s="6"/>
      <c r="F42" s="124"/>
      <c r="G42" s="125"/>
      <c r="H42" s="125"/>
      <c r="I42" s="125"/>
      <c r="J42" s="126"/>
    </row>
    <row r="43" spans="1:10" ht="15.75" customHeight="1">
      <c r="A43" s="124"/>
      <c r="B43" s="125"/>
      <c r="C43" s="125"/>
      <c r="D43" s="126"/>
      <c r="E43" s="6"/>
      <c r="F43" s="124"/>
      <c r="G43" s="125"/>
      <c r="H43" s="125"/>
      <c r="I43" s="125"/>
      <c r="J43" s="126"/>
    </row>
    <row r="44" spans="1:10" ht="15.75" customHeight="1">
      <c r="A44" s="127"/>
      <c r="B44" s="128"/>
      <c r="C44" s="128"/>
      <c r="D44" s="129"/>
      <c r="E44" s="6"/>
      <c r="F44" s="127"/>
      <c r="G44" s="128"/>
      <c r="H44" s="128"/>
      <c r="I44" s="128"/>
      <c r="J44" s="129"/>
    </row>
    <row r="45" spans="1:10" ht="24" customHeight="1">
      <c r="A45" s="138" t="s">
        <v>21</v>
      </c>
      <c r="B45" s="138"/>
      <c r="C45" s="138"/>
      <c r="D45" s="138"/>
      <c r="F45" s="139" t="s">
        <v>22</v>
      </c>
      <c r="G45" s="139"/>
      <c r="H45" s="139"/>
      <c r="I45" s="139"/>
      <c r="J45" s="139"/>
    </row>
  </sheetData>
  <sheetProtection/>
  <mergeCells count="27">
    <mergeCell ref="A45:D45"/>
    <mergeCell ref="F45:J45"/>
    <mergeCell ref="B13:C13"/>
    <mergeCell ref="D13:G13"/>
    <mergeCell ref="A12:J12"/>
    <mergeCell ref="A16:G16"/>
    <mergeCell ref="A29:B29"/>
    <mergeCell ref="D24:I24"/>
    <mergeCell ref="J29:J30"/>
    <mergeCell ref="A25:A26"/>
    <mergeCell ref="A6:J6"/>
    <mergeCell ref="A30:B30"/>
    <mergeCell ref="A31:B31"/>
    <mergeCell ref="A5:J5"/>
    <mergeCell ref="A41:D44"/>
    <mergeCell ref="F41:J44"/>
    <mergeCell ref="A35:B35"/>
    <mergeCell ref="A36:B36"/>
    <mergeCell ref="A8:B8"/>
    <mergeCell ref="A9:J9"/>
    <mergeCell ref="A32:B32"/>
    <mergeCell ref="A33:B33"/>
    <mergeCell ref="A34:B34"/>
    <mergeCell ref="A27:B27"/>
    <mergeCell ref="A28:B28"/>
    <mergeCell ref="B24:C24"/>
    <mergeCell ref="C30:I30"/>
  </mergeCells>
  <printOptions/>
  <pageMargins left="0.7874015748031497" right="0.2362204724409449" top="0.3937007874015748" bottom="0.3937007874015748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SheetLayoutView="85" workbookViewId="0" topLeftCell="A1">
      <selection activeCell="L4" sqref="L4"/>
    </sheetView>
  </sheetViews>
  <sheetFormatPr defaultColWidth="8.796875" defaultRowHeight="14.25"/>
  <cols>
    <col min="2" max="2" width="10.5" style="0" bestFit="1" customWidth="1"/>
    <col min="3" max="12" width="8.09765625" style="0" customWidth="1"/>
    <col min="13" max="13" width="7.5" style="0" customWidth="1"/>
    <col min="14" max="14" width="14.59765625" style="0" customWidth="1"/>
    <col min="21" max="21" width="7.5" style="0" customWidth="1"/>
  </cols>
  <sheetData>
    <row r="1" spans="10:12" ht="14.25">
      <c r="J1" s="85" t="s">
        <v>57</v>
      </c>
      <c r="K1" s="85"/>
      <c r="L1" s="1"/>
    </row>
    <row r="2" spans="10:12" ht="14.25">
      <c r="J2" s="2"/>
      <c r="K2" s="2"/>
      <c r="L2" s="13"/>
    </row>
    <row r="3" spans="10:12" ht="14.25">
      <c r="J3" s="2"/>
      <c r="K3" s="2"/>
      <c r="L3" s="13"/>
    </row>
    <row r="4" spans="10:12" ht="14.25">
      <c r="J4" s="2"/>
      <c r="K4" s="2"/>
      <c r="L4" s="13"/>
    </row>
    <row r="5" spans="10:12" ht="14.25">
      <c r="J5" s="2"/>
      <c r="K5" s="2"/>
      <c r="L5" s="13"/>
    </row>
    <row r="6" spans="1:12" ht="14.25" customHeight="1">
      <c r="A6" s="120" t="s">
        <v>58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30" customHeight="1">
      <c r="A7" s="117" t="s">
        <v>59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ht="14.25" customHeight="1">
      <c r="L8" s="13"/>
    </row>
    <row r="9" spans="1:2" ht="14.25" customHeight="1">
      <c r="A9" s="134" t="s">
        <v>20</v>
      </c>
      <c r="B9" s="134"/>
    </row>
    <row r="10" spans="1:12" ht="44.25" customHeight="1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1:12" ht="14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ht="14.25">
      <c r="L12" s="13"/>
    </row>
    <row r="13" spans="1:12" ht="16.5" thickBot="1">
      <c r="A13" s="143" t="s">
        <v>37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1" ht="15" customHeight="1" thickBot="1">
      <c r="A14" s="103"/>
      <c r="B14" s="185" t="s">
        <v>1</v>
      </c>
      <c r="C14" s="186"/>
      <c r="D14" s="187"/>
      <c r="E14" s="156" t="s">
        <v>2</v>
      </c>
      <c r="F14" s="157"/>
      <c r="G14" s="157"/>
      <c r="H14" s="157"/>
      <c r="I14" s="157"/>
      <c r="J14" s="157"/>
      <c r="K14" s="158"/>
    </row>
    <row r="15" spans="1:20" ht="45.75" thickBot="1">
      <c r="A15" s="190" t="s">
        <v>4</v>
      </c>
      <c r="B15" s="93" t="s">
        <v>5</v>
      </c>
      <c r="C15" s="94" t="s">
        <v>47</v>
      </c>
      <c r="D15" s="96" t="s">
        <v>48</v>
      </c>
      <c r="E15" s="92" t="s">
        <v>7</v>
      </c>
      <c r="F15" s="9" t="s">
        <v>8</v>
      </c>
      <c r="G15" s="9" t="s">
        <v>9</v>
      </c>
      <c r="H15" s="9" t="s">
        <v>10</v>
      </c>
      <c r="I15" s="9" t="s">
        <v>11</v>
      </c>
      <c r="J15" s="93" t="s">
        <v>49</v>
      </c>
      <c r="K15" s="98" t="s">
        <v>50</v>
      </c>
      <c r="N15" s="33"/>
      <c r="O15" s="41"/>
      <c r="P15" s="41"/>
      <c r="Q15" s="41"/>
      <c r="R15" s="41"/>
      <c r="S15" s="41"/>
      <c r="T15" s="41"/>
    </row>
    <row r="16" spans="1:20" ht="26.25" customHeight="1" thickBot="1">
      <c r="A16" s="191"/>
      <c r="B16" s="102" t="s">
        <v>51</v>
      </c>
      <c r="C16" s="95"/>
      <c r="D16" s="97"/>
      <c r="E16" s="89"/>
      <c r="F16" s="90"/>
      <c r="G16" s="91"/>
      <c r="H16" s="91"/>
      <c r="I16" s="107">
        <f>IF($I$17="","",ROUND(($I$17*0.1125),3))</f>
      </c>
      <c r="J16" s="86"/>
      <c r="K16" s="99"/>
      <c r="L16" s="71"/>
      <c r="N16" s="33"/>
      <c r="O16" s="33"/>
      <c r="P16" s="33"/>
      <c r="Q16" s="33"/>
      <c r="R16" s="33"/>
      <c r="S16" s="33"/>
      <c r="T16" s="33"/>
    </row>
    <row r="17" spans="1:20" ht="28.5" customHeight="1">
      <c r="A17" s="179" t="s">
        <v>53</v>
      </c>
      <c r="B17" s="180"/>
      <c r="C17" s="161"/>
      <c r="D17" s="162"/>
      <c r="E17" s="87"/>
      <c r="F17" s="104"/>
      <c r="G17" s="20"/>
      <c r="H17" s="20"/>
      <c r="I17" s="20"/>
      <c r="J17" s="183"/>
      <c r="K17" s="184"/>
      <c r="L17" s="71"/>
      <c r="N17" s="33"/>
      <c r="O17" s="33"/>
      <c r="P17" s="33"/>
      <c r="Q17" s="33"/>
      <c r="R17" s="33"/>
      <c r="S17" s="33"/>
      <c r="T17" s="33"/>
    </row>
    <row r="18" spans="1:20" ht="25.5" customHeight="1" thickBot="1">
      <c r="A18" s="181" t="s">
        <v>54</v>
      </c>
      <c r="B18" s="182"/>
      <c r="C18" s="161"/>
      <c r="D18" s="162"/>
      <c r="E18" s="88"/>
      <c r="F18" s="20"/>
      <c r="G18" s="20"/>
      <c r="H18" s="20"/>
      <c r="I18" s="20"/>
      <c r="J18" s="183"/>
      <c r="K18" s="184"/>
      <c r="L18" s="72"/>
      <c r="N18" s="33"/>
      <c r="O18" s="33"/>
      <c r="P18" s="33"/>
      <c r="Q18" s="33"/>
      <c r="R18" s="33"/>
      <c r="S18" s="33"/>
      <c r="T18" s="33"/>
    </row>
    <row r="19" spans="1:20" ht="28.5" customHeight="1" thickBot="1">
      <c r="A19" s="188" t="s">
        <v>41</v>
      </c>
      <c r="B19" s="189"/>
      <c r="C19" s="163"/>
      <c r="D19" s="164"/>
      <c r="E19" s="74"/>
      <c r="F19" s="75"/>
      <c r="G19" s="75"/>
      <c r="H19" s="75"/>
      <c r="I19" s="105">
        <f>IF(I17=0,"",I17*1.8)</f>
      </c>
      <c r="J19" s="173"/>
      <c r="K19" s="174"/>
      <c r="L19" s="152" t="s">
        <v>3</v>
      </c>
      <c r="N19" s="33"/>
      <c r="O19" s="33"/>
      <c r="P19" s="33"/>
      <c r="Q19" s="33"/>
      <c r="R19" s="33"/>
      <c r="S19" s="33"/>
      <c r="T19" s="33"/>
    </row>
    <row r="20" spans="1:20" ht="15" customHeight="1" thickBot="1">
      <c r="A20" s="118"/>
      <c r="B20" s="119"/>
      <c r="C20" s="114" t="s">
        <v>13</v>
      </c>
      <c r="D20" s="115"/>
      <c r="E20" s="115"/>
      <c r="F20" s="115"/>
      <c r="G20" s="115"/>
      <c r="H20" s="115"/>
      <c r="I20" s="115"/>
      <c r="J20" s="115"/>
      <c r="K20" s="116"/>
      <c r="L20" s="153"/>
      <c r="N20" s="33"/>
      <c r="O20" s="33"/>
      <c r="P20" s="33"/>
      <c r="Q20" s="33"/>
      <c r="R20" s="33"/>
      <c r="S20" s="33"/>
      <c r="T20" s="33"/>
    </row>
    <row r="21" spans="1:20" ht="14.25">
      <c r="A21" s="110" t="s">
        <v>14</v>
      </c>
      <c r="B21" s="111"/>
      <c r="C21" s="177">
        <f>IF(C16+D16=0,"",ROUND(15*C16*100/(75*1000)+15*D16*100/(75*1000),3))</f>
      </c>
      <c r="D21" s="178"/>
      <c r="E21" s="78">
        <f>IF($E$16=0,"",ROUND(E16*15/1000000000,3))</f>
      </c>
      <c r="F21" s="79">
        <f>IF($F$16=0,"",ROUND(F16*1.8/1000,3))</f>
      </c>
      <c r="G21" s="80"/>
      <c r="H21" s="80"/>
      <c r="I21" s="80"/>
      <c r="J21" s="175">
        <f>IF($J$16+$K$16=0,"",ROUND(J16*0.002+K16*3.371/1000,3))</f>
      </c>
      <c r="K21" s="176"/>
      <c r="L21" s="70">
        <f>IF(C16+D16=0,"",ROUND(C21-SUM(E21:J21),3))</f>
      </c>
      <c r="N21" s="33"/>
      <c r="O21" s="33"/>
      <c r="P21" s="33"/>
      <c r="Q21" s="33"/>
      <c r="R21" s="33"/>
      <c r="S21" s="33"/>
      <c r="T21" s="33"/>
    </row>
    <row r="22" spans="1:20" ht="14.25">
      <c r="A22" s="108" t="s">
        <v>15</v>
      </c>
      <c r="B22" s="109"/>
      <c r="C22" s="169">
        <f>IF(C16+D16=0,"",ROUND(C16*9.6/1000+D16*9.6/1000,3))</f>
      </c>
      <c r="D22" s="170"/>
      <c r="E22" s="28">
        <f>IF($E$16=0,"",ROUND(E16*0.6/1000000000,3))</f>
      </c>
      <c r="F22" s="29">
        <f>IF($F$16=0,"",ROUND(F16*5.7/1000,3))</f>
      </c>
      <c r="G22" s="12"/>
      <c r="H22" s="12"/>
      <c r="I22" s="80"/>
      <c r="J22" s="165">
        <f>IF($J$16+$K$16=0,"",ROUND(J16*0.001+K16*1.461/1000,3))</f>
      </c>
      <c r="K22" s="166"/>
      <c r="L22" s="70">
        <f>IF(C16+D16=0,"",ROUND(C22-SUM(E22:J22),3))</f>
      </c>
      <c r="N22" s="33"/>
      <c r="O22" s="33"/>
      <c r="P22" s="33"/>
      <c r="Q22" s="33"/>
      <c r="R22" s="33"/>
      <c r="S22" s="33"/>
      <c r="T22" s="33"/>
    </row>
    <row r="23" spans="1:20" ht="15.75" customHeight="1">
      <c r="A23" s="108" t="s">
        <v>16</v>
      </c>
      <c r="B23" s="109"/>
      <c r="C23" s="169">
        <f>IF(C16+D16=0,"",ROUND(C16*1/1000+D16*1.5/1000,3))</f>
      </c>
      <c r="D23" s="170"/>
      <c r="E23" s="28">
        <f>IF($E$16=0,"",ROUND(E16*1280/1000000000,3))</f>
      </c>
      <c r="F23" s="29">
        <f>IF($F$16=0,"",ROUND(F16*5/1000,3))</f>
      </c>
      <c r="G23" s="12"/>
      <c r="H23" s="12"/>
      <c r="I23" s="80"/>
      <c r="J23" s="165">
        <f>IF($J$16+$K$16=0,"",ROUND(0.001*J16+1.798*K16/1000,3))</f>
      </c>
      <c r="K23" s="166"/>
      <c r="L23" s="70">
        <f>IF(C16+D16=0,"",ROUND(C23-SUM(E23:J23),3))</f>
      </c>
      <c r="N23" s="33"/>
      <c r="O23" s="33"/>
      <c r="P23" s="33"/>
      <c r="Q23" s="33"/>
      <c r="R23" s="33"/>
      <c r="S23" s="33"/>
      <c r="T23" s="33"/>
    </row>
    <row r="24" spans="1:20" ht="14.25">
      <c r="A24" s="108" t="s">
        <v>17</v>
      </c>
      <c r="B24" s="109"/>
      <c r="C24" s="169">
        <f>IF(C16+D16=0,"",ROUND(C16*45/1000+D16*25/1000,3))</f>
      </c>
      <c r="D24" s="170"/>
      <c r="E24" s="28">
        <f>IF($E$16=0,"",ROUND(E16*360/1000000000,3))</f>
      </c>
      <c r="F24" s="29">
        <f>IF($F$16=0,"",ROUND(F16*0.6/1000,3))</f>
      </c>
      <c r="G24" s="12"/>
      <c r="H24" s="12"/>
      <c r="I24" s="80"/>
      <c r="J24" s="165">
        <f>IF($J$16+$K$16=0,"",ROUND(0.004*J16+1.798*K16/1000,3))</f>
      </c>
      <c r="K24" s="166"/>
      <c r="L24" s="70">
        <f>IF(C16+D16=0,"",ROUND(C24-SUM(E24:J24),3))</f>
      </c>
      <c r="N24" s="33"/>
      <c r="O24" s="33"/>
      <c r="P24" s="33"/>
      <c r="Q24" s="33"/>
      <c r="R24" s="33"/>
      <c r="S24" s="33"/>
      <c r="T24" s="33"/>
    </row>
    <row r="25" spans="1:20" ht="15" thickBot="1">
      <c r="A25" s="130" t="s">
        <v>18</v>
      </c>
      <c r="B25" s="131"/>
      <c r="C25" s="171">
        <f>IF(C16+D16=0,"",ROUND(C16*2000/1000+D16*2400/1000,3))</f>
      </c>
      <c r="D25" s="172"/>
      <c r="E25" s="28">
        <f>IF($E$16=0,"",ROUND(E16*1964000/1000000000,3))</f>
      </c>
      <c r="F25" s="29">
        <f>IF($F$16=0,"",ROUND(F16*1650/1000,3))</f>
      </c>
      <c r="G25" s="26"/>
      <c r="H25" s="26"/>
      <c r="I25" s="80"/>
      <c r="J25" s="167">
        <f>IF($J$16+$K$16=0,"",ROUND(0+0,3))</f>
      </c>
      <c r="K25" s="168"/>
      <c r="L25" s="106">
        <f>IF(C16+D16=0,"",ROUND(C25-SUM(E25:J25),3))</f>
      </c>
      <c r="N25" s="33"/>
      <c r="O25" s="33"/>
      <c r="P25" s="33"/>
      <c r="Q25" s="33"/>
      <c r="R25" s="33"/>
      <c r="S25" s="33"/>
      <c r="T25" s="33"/>
    </row>
    <row r="26" spans="1:20" ht="25.5" customHeight="1" thickBot="1">
      <c r="A26" s="132" t="s">
        <v>19</v>
      </c>
      <c r="B26" s="133"/>
      <c r="C26" s="100"/>
      <c r="D26" s="101"/>
      <c r="E26" s="17"/>
      <c r="F26" s="18"/>
      <c r="G26" s="18"/>
      <c r="H26" s="18"/>
      <c r="I26" s="18"/>
      <c r="J26" s="159"/>
      <c r="K26" s="160"/>
      <c r="L26" s="32">
        <f>IF(C16+D16=0,"",ROUND(2.9*L21+0.5*L24+2.9*L23+L22,3))</f>
      </c>
      <c r="N26" s="33"/>
      <c r="O26" s="33"/>
      <c r="P26" s="33"/>
      <c r="Q26" s="33"/>
      <c r="R26" s="33"/>
      <c r="S26" s="33"/>
      <c r="T26" s="33"/>
    </row>
    <row r="27" spans="1:20" ht="15.75">
      <c r="A27" s="84" t="s">
        <v>42</v>
      </c>
      <c r="B27" s="85"/>
      <c r="C27" s="85"/>
      <c r="D27" s="85"/>
      <c r="E27" s="85"/>
      <c r="F27" s="85"/>
      <c r="G27" s="85"/>
      <c r="H27" s="85"/>
      <c r="I27" s="85"/>
      <c r="N27" s="33"/>
      <c r="O27" s="33"/>
      <c r="P27" s="33"/>
      <c r="Q27" s="33"/>
      <c r="R27" s="33"/>
      <c r="S27" s="33"/>
      <c r="T27" s="33"/>
    </row>
    <row r="28" spans="1:20" ht="15.75">
      <c r="A28" s="84" t="s">
        <v>55</v>
      </c>
      <c r="B28" s="85"/>
      <c r="C28" s="85"/>
      <c r="D28" s="85"/>
      <c r="E28" s="85"/>
      <c r="F28" s="85"/>
      <c r="G28" s="85"/>
      <c r="H28" s="85"/>
      <c r="I28" s="85"/>
      <c r="N28" s="33"/>
      <c r="O28" s="33"/>
      <c r="P28" s="33"/>
      <c r="Q28" s="33"/>
      <c r="R28" s="33"/>
      <c r="S28" s="33"/>
      <c r="T28" s="33"/>
    </row>
    <row r="29" spans="1:20" ht="15.75">
      <c r="A29" s="84" t="s">
        <v>56</v>
      </c>
      <c r="B29" s="85"/>
      <c r="C29" s="85"/>
      <c r="D29" s="85"/>
      <c r="E29" s="85"/>
      <c r="F29" s="85"/>
      <c r="G29" s="85"/>
      <c r="H29" s="85"/>
      <c r="I29" s="85"/>
      <c r="N29" s="33"/>
      <c r="O29" s="33"/>
      <c r="P29" s="33"/>
      <c r="Q29" s="33"/>
      <c r="R29" s="33"/>
      <c r="S29" s="33"/>
      <c r="T29" s="33"/>
    </row>
    <row r="30" spans="1:20" ht="15.75">
      <c r="A30" s="84"/>
      <c r="B30" s="85"/>
      <c r="C30" s="85"/>
      <c r="D30" s="85"/>
      <c r="E30" s="85"/>
      <c r="F30" s="85"/>
      <c r="G30" s="85"/>
      <c r="H30" s="85"/>
      <c r="I30" s="85"/>
      <c r="N30" s="33"/>
      <c r="O30" s="33"/>
      <c r="P30" s="33"/>
      <c r="Q30" s="33"/>
      <c r="R30" s="33"/>
      <c r="S30" s="33"/>
      <c r="T30" s="33"/>
    </row>
    <row r="31" spans="1:20" ht="15.75">
      <c r="A31" s="84"/>
      <c r="B31" s="85"/>
      <c r="C31" s="85"/>
      <c r="D31" s="85"/>
      <c r="E31" s="85"/>
      <c r="F31" s="85"/>
      <c r="G31" s="85"/>
      <c r="H31" s="85"/>
      <c r="I31" s="85"/>
      <c r="N31" s="33"/>
      <c r="O31" s="33"/>
      <c r="P31" s="33"/>
      <c r="Q31" s="33"/>
      <c r="R31" s="33"/>
      <c r="S31" s="33"/>
      <c r="T31" s="33"/>
    </row>
    <row r="32" spans="1:8" ht="15.75">
      <c r="A32" s="6"/>
      <c r="B32" s="7"/>
      <c r="C32" s="6"/>
      <c r="D32" s="6"/>
      <c r="E32" s="6"/>
      <c r="F32" s="6"/>
      <c r="G32" s="6"/>
      <c r="H32" s="6"/>
    </row>
    <row r="33" spans="1:12" ht="15.75" customHeight="1">
      <c r="A33" s="121"/>
      <c r="B33" s="122"/>
      <c r="C33" s="122"/>
      <c r="D33" s="122"/>
      <c r="E33" s="123"/>
      <c r="F33" s="6"/>
      <c r="G33" s="121"/>
      <c r="H33" s="122"/>
      <c r="I33" s="122"/>
      <c r="J33" s="122"/>
      <c r="K33" s="122"/>
      <c r="L33" s="123"/>
    </row>
    <row r="34" spans="1:12" ht="15.75" customHeight="1">
      <c r="A34" s="124"/>
      <c r="B34" s="125"/>
      <c r="C34" s="125"/>
      <c r="D34" s="125"/>
      <c r="E34" s="126"/>
      <c r="F34" s="6"/>
      <c r="G34" s="124"/>
      <c r="H34" s="125"/>
      <c r="I34" s="125"/>
      <c r="J34" s="125"/>
      <c r="K34" s="125"/>
      <c r="L34" s="126"/>
    </row>
    <row r="35" spans="1:12" ht="15.75" customHeight="1">
      <c r="A35" s="124"/>
      <c r="B35" s="125"/>
      <c r="C35" s="125"/>
      <c r="D35" s="125"/>
      <c r="E35" s="126"/>
      <c r="F35" s="6"/>
      <c r="G35" s="124"/>
      <c r="H35" s="125"/>
      <c r="I35" s="125"/>
      <c r="J35" s="125"/>
      <c r="K35" s="125"/>
      <c r="L35" s="126"/>
    </row>
    <row r="36" spans="1:12" ht="15.75" customHeight="1">
      <c r="A36" s="127"/>
      <c r="B36" s="128"/>
      <c r="C36" s="128"/>
      <c r="D36" s="128"/>
      <c r="E36" s="129"/>
      <c r="F36" s="6"/>
      <c r="G36" s="127"/>
      <c r="H36" s="128"/>
      <c r="I36" s="128"/>
      <c r="J36" s="128"/>
      <c r="K36" s="128"/>
      <c r="L36" s="129"/>
    </row>
    <row r="37" spans="1:12" ht="24" customHeight="1">
      <c r="A37" s="138" t="s">
        <v>61</v>
      </c>
      <c r="B37" s="138"/>
      <c r="C37" s="138"/>
      <c r="D37" s="138"/>
      <c r="E37" s="138"/>
      <c r="G37" s="139" t="s">
        <v>60</v>
      </c>
      <c r="H37" s="139"/>
      <c r="I37" s="139"/>
      <c r="J37" s="139"/>
      <c r="K37" s="139"/>
      <c r="L37" s="139"/>
    </row>
  </sheetData>
  <sheetProtection/>
  <mergeCells count="41">
    <mergeCell ref="A6:L6"/>
    <mergeCell ref="A7:L7"/>
    <mergeCell ref="A9:B9"/>
    <mergeCell ref="A10:L10"/>
    <mergeCell ref="A13:L13"/>
    <mergeCell ref="A15:A16"/>
    <mergeCell ref="A17:B17"/>
    <mergeCell ref="A18:B18"/>
    <mergeCell ref="J17:K17"/>
    <mergeCell ref="J18:K18"/>
    <mergeCell ref="B14:D14"/>
    <mergeCell ref="A19:B19"/>
    <mergeCell ref="L19:L20"/>
    <mergeCell ref="A20:B20"/>
    <mergeCell ref="A21:B21"/>
    <mergeCell ref="A22:B22"/>
    <mergeCell ref="J19:K19"/>
    <mergeCell ref="J21:K21"/>
    <mergeCell ref="J22:K22"/>
    <mergeCell ref="C21:D21"/>
    <mergeCell ref="C22:D22"/>
    <mergeCell ref="A26:B26"/>
    <mergeCell ref="A33:E36"/>
    <mergeCell ref="G33:L36"/>
    <mergeCell ref="J23:K23"/>
    <mergeCell ref="J24:K24"/>
    <mergeCell ref="J25:K25"/>
    <mergeCell ref="C23:D23"/>
    <mergeCell ref="C24:D24"/>
    <mergeCell ref="C25:D25"/>
    <mergeCell ref="A23:B23"/>
    <mergeCell ref="A24:B24"/>
    <mergeCell ref="A25:B25"/>
    <mergeCell ref="E14:K14"/>
    <mergeCell ref="C20:K20"/>
    <mergeCell ref="J26:K26"/>
    <mergeCell ref="A37:E37"/>
    <mergeCell ref="G37:L37"/>
    <mergeCell ref="C17:D17"/>
    <mergeCell ref="C18:D18"/>
    <mergeCell ref="C19:D19"/>
  </mergeCells>
  <printOptions/>
  <pageMargins left="0.7874015748031497" right="0.2362204724409449" top="0.3937007874015748" bottom="0.3937007874015748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mleszczynski</dc:creator>
  <cp:keywords/>
  <dc:description/>
  <cp:lastModifiedBy>Aleksandra Wasielewska</cp:lastModifiedBy>
  <cp:lastPrinted>2014-01-17T09:47:54Z</cp:lastPrinted>
  <dcterms:created xsi:type="dcterms:W3CDTF">2012-11-19T08:55:53Z</dcterms:created>
  <dcterms:modified xsi:type="dcterms:W3CDTF">2015-04-30T10:46:21Z</dcterms:modified>
  <cp:category/>
  <cp:version/>
  <cp:contentType/>
  <cp:contentStatus/>
</cp:coreProperties>
</file>